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" sheetId="12" r:id="rId12"/>
  </sheets>
  <externalReferences>
    <externalReference r:id="rId15"/>
  </externalReferences>
  <definedNames>
    <definedName name="_xlnm.Print_Area" localSheetId="11">'січень'!$A$1:$R$87</definedName>
    <definedName name="_xlnm.Print_Area" localSheetId="5">'червень'!$B$2:$J$85</definedName>
  </definedNames>
  <calcPr fullCalcOnLoad="1"/>
</workbook>
</file>

<file path=xl/sharedStrings.xml><?xml version="1.0" encoding="utf-8"?>
<sst xmlns="http://schemas.openxmlformats.org/spreadsheetml/2006/main" count="1561" uniqueCount="227">
  <si>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</si>
  <si>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</si>
  <si>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</si>
  <si>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</si>
  <si>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</si>
  <si>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</si>
  <si>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</si>
  <si>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</si>
  <si>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</si>
  <si>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</si>
  <si>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</si>
  <si>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</si>
  <si>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</si>
  <si>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</si>
  <si>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</si>
  <si>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</si>
  <si>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</si>
  <si>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</si>
  <si>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</si>
  <si>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</si>
  <si>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</si>
  <si>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</si>
  <si>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</si>
  <si>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</si>
  <si>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</si>
  <si>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</si>
  <si>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</si>
  <si>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</si>
  <si>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</si>
  <si>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</si>
  <si>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</si>
  <si>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</si>
  <si>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</si>
  <si>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</si>
  <si>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</si>
  <si>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</si>
  <si>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</si>
  <si>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</si>
  <si>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</si>
  <si>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</si>
  <si>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</si>
  <si>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</si>
  <si>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</si>
  <si>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</si>
  <si>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</si>
  <si>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</si>
  <si>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</si>
  <si>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</si>
  <si>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</si>
  <si>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</si>
  <si>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</si>
  <si>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</si>
  <si>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</si>
  <si>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</si>
  <si>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</si>
  <si>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</si>
  <si>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</si>
  <si>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</si>
  <si>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</si>
  <si>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</si>
  <si>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</si>
  <si>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</si>
  <si>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</si>
  <si>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</si>
  <si>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</si>
  <si>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</si>
  <si>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</si>
  <si>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</si>
  <si>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</si>
  <si>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</si>
  <si>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</si>
  <si>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</si>
  <si>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</si>
  <si>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</si>
  <si>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</si>
  <si>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</si>
  <si>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</si>
  <si>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</si>
  <si>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</si>
  <si>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</si>
  <si>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</si>
  <si>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</si>
  <si>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</si>
  <si>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</si>
  <si>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</si>
  <si>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</si>
  <si>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</si>
  <si>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</si>
  <si>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</si>
  <si>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</si>
  <si>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</si>
  <si>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</si>
  <si>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</si>
  <si>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</si>
  <si>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</si>
  <si>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</si>
  <si>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</si>
  <si>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</si>
  <si>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</si>
  <si>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</si>
  <si>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</si>
  <si>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</si>
  <si>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</si>
  <si>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</si>
  <si>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</si>
  <si>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</si>
  <si>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</si>
  <si>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</si>
  <si>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</si>
  <si>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</si>
  <si>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</si>
  <si>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</si>
  <si>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</si>
  <si>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</si>
  <si>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</si>
  <si>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</si>
  <si>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</si>
  <si>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</si>
  <si>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</si>
  <si>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</si>
  <si>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</si>
  <si>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</si>
  <si>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</si>
  <si>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</si>
  <si>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</si>
  <si>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</si>
  <si>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</si>
  <si>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</si>
  <si>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</si>
  <si>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</si>
  <si>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</si>
  <si>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</si>
  <si>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</si>
  <si>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</si>
  <si>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</si>
  <si>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</si>
  <si>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</si>
  <si>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</si>
  <si>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</si>
  <si>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</si>
  <si>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</si>
  <si>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</si>
  <si>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</si>
  <si>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</si>
  <si>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</si>
  <si>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</si>
  <si>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</si>
  <si>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</si>
  <si>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</si>
  <si>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</si>
  <si>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</si>
  <si>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</si>
  <si>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</si>
  <si>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</si>
  <si>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</si>
  <si>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</si>
  <si>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</si>
  <si>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</si>
  <si>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</si>
  <si>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</si>
  <si>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</si>
  <si>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</si>
  <si>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</si>
  <si>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</si>
  <si>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</si>
  <si>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</si>
  <si>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</si>
  <si>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</si>
  <si>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</si>
  <si>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</si>
  <si>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</si>
  <si>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</si>
  <si>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</si>
  <si>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</si>
  <si>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</si>
  <si>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</si>
  <si>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</si>
  <si>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</si>
  <si>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</si>
  <si>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</si>
  <si>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</si>
  <si>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</si>
  <si>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</si>
  <si>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</si>
  <si>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</si>
  <si>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</si>
  <si>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</si>
  <si>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</si>
  <si>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</si>
  <si>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</si>
  <si>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</si>
  <si>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</si>
  <si>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</si>
  <si>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</si>
  <si>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</si>
  <si>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</si>
  <si>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</si>
  <si>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</si>
  <si>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</si>
  <si>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</si>
  <si>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</si>
  <si>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</si>
  <si>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</si>
  <si>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</si>
  <si>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</si>
  <si>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</si>
  <si>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</si>
  <si>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</si>
  <si>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</si>
  <si>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</si>
  <si>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</si>
  <si>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</si>
  <si>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</si>
  <si>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</si>
  <si>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</si>
  <si>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</si>
  <si>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</si>
  <si>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2016 року</t>
  </si>
  <si>
    <t>% виконання  плану на січень-листопад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</si>
  <si>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</si>
  <si>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</si>
  <si>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</si>
  <si>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</si>
  <si>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</si>
  <si>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</si>
  <si>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</si>
  <si>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07.11.16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</si>
</sst>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775280.9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225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219</v>
      </c>
      <c r="O3" s="429" t="s">
        <v>220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216</v>
      </c>
      <c r="F4" s="432" t="s">
        <v>34</v>
      </c>
      <c r="G4" s="434" t="s">
        <v>217</v>
      </c>
      <c r="H4" s="427" t="s">
        <v>218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226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221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813978.95</v>
      </c>
      <c r="G8" s="191">
        <f aca="true" t="shared" si="0" ref="G8:G37">F8-E8</f>
        <v>-70442.90000000002</v>
      </c>
      <c r="H8" s="192">
        <f>F8/E8*100</f>
        <v>92.03514702853622</v>
      </c>
      <c r="I8" s="193">
        <f>F8-D8</f>
        <v>-143092.50000000012</v>
      </c>
      <c r="J8" s="193">
        <f>F8/D8*100</f>
        <v>85.04892189606115</v>
      </c>
      <c r="K8" s="191">
        <v>608809.78</v>
      </c>
      <c r="L8" s="191">
        <f aca="true" t="shared" si="1" ref="L8:L51">F8-K8</f>
        <v>205169.16999999993</v>
      </c>
      <c r="M8" s="250">
        <f aca="true" t="shared" si="2" ref="M8:M28">F8/K8</f>
        <v>1.3370004502884298</v>
      </c>
      <c r="N8" s="191">
        <f>N9+N15+N18+N19+N20+N17</f>
        <v>88745.92000000001</v>
      </c>
      <c r="O8" s="191">
        <f>O9+O15+O18+O19+O20+O17</f>
        <v>16360.190000000017</v>
      </c>
      <c r="P8" s="191">
        <f>O8-N8</f>
        <v>-72385.73</v>
      </c>
      <c r="Q8" s="191">
        <f>O8/N8*100</f>
        <v>18.434864385878264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441770.05</v>
      </c>
      <c r="G9" s="190">
        <f t="shared" si="0"/>
        <v>-39950.619999999995</v>
      </c>
      <c r="H9" s="197">
        <f>F9/E9*100</f>
        <v>91.70668346035472</v>
      </c>
      <c r="I9" s="198">
        <f>F9-D9</f>
        <v>-88818.95000000001</v>
      </c>
      <c r="J9" s="198">
        <f>F9/D9*100</f>
        <v>83.26031071130386</v>
      </c>
      <c r="K9" s="412">
        <v>329224.03</v>
      </c>
      <c r="L9" s="199">
        <f t="shared" si="1"/>
        <v>112546.01999999996</v>
      </c>
      <c r="M9" s="251">
        <f t="shared" si="2"/>
        <v>1.3418523854410018</v>
      </c>
      <c r="N9" s="197">
        <f>E9-жовтень!E9</f>
        <v>52597</v>
      </c>
      <c r="O9" s="200">
        <f>F9-жовтень!F9</f>
        <v>10487.26000000001</v>
      </c>
      <c r="P9" s="201">
        <f>O9-N9</f>
        <v>-42109.73999999999</v>
      </c>
      <c r="Q9" s="198">
        <f>O9/N9*100</f>
        <v>19.93889385326161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389457.59</v>
      </c>
      <c r="G10" s="109">
        <f t="shared" si="0"/>
        <v>-47992.649999999965</v>
      </c>
      <c r="H10" s="32">
        <f aca="true" t="shared" si="3" ref="H10:H36">F10/E10*100</f>
        <v>89.02900361878874</v>
      </c>
      <c r="I10" s="110">
        <f aca="true" t="shared" si="4" ref="I10:I37">F10-D10</f>
        <v>-95751.40999999997</v>
      </c>
      <c r="J10" s="110">
        <f aca="true" t="shared" si="5" ref="J10:J36">F10/D10*100</f>
        <v>80.2659451906292</v>
      </c>
      <c r="K10" s="112">
        <v>292222.53</v>
      </c>
      <c r="L10" s="112">
        <f t="shared" si="1"/>
        <v>97235.06</v>
      </c>
      <c r="M10" s="252">
        <f t="shared" si="2"/>
        <v>1.3327432008750317</v>
      </c>
      <c r="N10" s="111">
        <f>E10-жовтень!E10</f>
        <v>51300</v>
      </c>
      <c r="O10" s="179">
        <f>F10-жовтень!F10</f>
        <v>10009.240000000049</v>
      </c>
      <c r="P10" s="112">
        <f aca="true" t="shared" si="6" ref="P10:P37">O10-N10</f>
        <v>-41290.75999999995</v>
      </c>
      <c r="Q10" s="198">
        <f aca="true" t="shared" si="7" ref="Q10:Q16">O10/N10*100</f>
        <v>19.511189083820756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32838.94</v>
      </c>
      <c r="G11" s="109">
        <f t="shared" si="0"/>
        <v>9924.000000000004</v>
      </c>
      <c r="H11" s="32">
        <f t="shared" si="3"/>
        <v>143.30799033294437</v>
      </c>
      <c r="I11" s="110">
        <f t="shared" si="4"/>
        <v>9838.940000000002</v>
      </c>
      <c r="J11" s="110">
        <f t="shared" si="5"/>
        <v>142.778</v>
      </c>
      <c r="K11" s="112">
        <v>17520.05</v>
      </c>
      <c r="L11" s="112">
        <f t="shared" si="1"/>
        <v>15318.890000000003</v>
      </c>
      <c r="M11" s="252">
        <f t="shared" si="2"/>
        <v>1.87436337225065</v>
      </c>
      <c r="N11" s="111">
        <f>E11-жовтень!E11</f>
        <v>100</v>
      </c>
      <c r="O11" s="179">
        <f>F11-жовтень!F11</f>
        <v>74.84000000000378</v>
      </c>
      <c r="P11" s="112">
        <f t="shared" si="6"/>
        <v>-25.159999999996217</v>
      </c>
      <c r="Q11" s="198">
        <f t="shared" si="7"/>
        <v>74.84000000000378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8155.86</v>
      </c>
      <c r="G12" s="109">
        <f t="shared" si="0"/>
        <v>1695.25</v>
      </c>
      <c r="H12" s="32">
        <f t="shared" si="3"/>
        <v>126.2397823115774</v>
      </c>
      <c r="I12" s="110">
        <f t="shared" si="4"/>
        <v>1655.8599999999997</v>
      </c>
      <c r="J12" s="110">
        <f t="shared" si="5"/>
        <v>125.47476923076924</v>
      </c>
      <c r="K12" s="112">
        <v>4581.23</v>
      </c>
      <c r="L12" s="112">
        <f t="shared" si="1"/>
        <v>3574.63</v>
      </c>
      <c r="M12" s="252">
        <f t="shared" si="2"/>
        <v>1.7802773490962036</v>
      </c>
      <c r="N12" s="111">
        <f>E12-жовтень!E12</f>
        <v>80</v>
      </c>
      <c r="O12" s="179">
        <f>F12-жовтень!F12</f>
        <v>179.28999999999996</v>
      </c>
      <c r="P12" s="112">
        <f t="shared" si="6"/>
        <v>99.28999999999996</v>
      </c>
      <c r="Q12" s="198">
        <f t="shared" si="7"/>
        <v>224.11249999999993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8483.7</v>
      </c>
      <c r="G13" s="109">
        <f t="shared" si="0"/>
        <v>-2931.1399999999994</v>
      </c>
      <c r="H13" s="32">
        <f t="shared" si="3"/>
        <v>74.32167248949614</v>
      </c>
      <c r="I13" s="110">
        <f t="shared" si="4"/>
        <v>-3916.2999999999993</v>
      </c>
      <c r="J13" s="110">
        <f t="shared" si="5"/>
        <v>68.41693548387097</v>
      </c>
      <c r="K13" s="112">
        <v>6730.35</v>
      </c>
      <c r="L13" s="112">
        <f t="shared" si="1"/>
        <v>1753.3500000000004</v>
      </c>
      <c r="M13" s="252">
        <f t="shared" si="2"/>
        <v>1.260513940582585</v>
      </c>
      <c r="N13" s="111">
        <f>E13-жовтень!E13</f>
        <v>1100</v>
      </c>
      <c r="O13" s="179">
        <f>F13-жовтень!F13</f>
        <v>133.90999999999985</v>
      </c>
      <c r="P13" s="112">
        <f t="shared" si="6"/>
        <v>-966.0900000000001</v>
      </c>
      <c r="Q13" s="198">
        <f t="shared" si="7"/>
        <v>12.17363636363635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2883.96</v>
      </c>
      <c r="G14" s="109">
        <f t="shared" si="0"/>
        <v>-596.0799999999999</v>
      </c>
      <c r="H14" s="32">
        <f t="shared" si="3"/>
        <v>82.87146124757186</v>
      </c>
      <c r="I14" s="110">
        <f t="shared" si="4"/>
        <v>-596.04</v>
      </c>
      <c r="J14" s="110">
        <f t="shared" si="5"/>
        <v>82.87241379310345</v>
      </c>
      <c r="K14" s="112">
        <v>8169.86</v>
      </c>
      <c r="L14" s="112">
        <f t="shared" si="1"/>
        <v>-5285.9</v>
      </c>
      <c r="M14" s="252">
        <f t="shared" si="2"/>
        <v>0.35299992900735144</v>
      </c>
      <c r="N14" s="111">
        <f>E14-жовтень!E14</f>
        <v>17</v>
      </c>
      <c r="O14" s="179">
        <f>F14-жовтень!F14</f>
        <v>139.97000000000025</v>
      </c>
      <c r="P14" s="112">
        <f t="shared" si="6"/>
        <v>122.97000000000025</v>
      </c>
      <c r="Q14" s="198">
        <f t="shared" si="7"/>
        <v>823.3529411764721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398.43</v>
      </c>
      <c r="G15" s="190">
        <f t="shared" si="0"/>
        <v>-96.57</v>
      </c>
      <c r="H15" s="197">
        <f>F15/E15*100</f>
        <v>80.49090909090908</v>
      </c>
      <c r="I15" s="198">
        <f t="shared" si="4"/>
        <v>-101.57</v>
      </c>
      <c r="J15" s="198">
        <f t="shared" si="5"/>
        <v>79.686</v>
      </c>
      <c r="K15" s="201">
        <v>-536.92</v>
      </c>
      <c r="L15" s="201">
        <f t="shared" si="1"/>
        <v>935.3499999999999</v>
      </c>
      <c r="M15" s="253">
        <f t="shared" si="2"/>
        <v>-0.7420658571109291</v>
      </c>
      <c r="N15" s="197">
        <f>E15-жовтень!E15</f>
        <v>115</v>
      </c>
      <c r="O15" s="200">
        <f>F15-жовтень!F15</f>
        <v>11.610000000000014</v>
      </c>
      <c r="P15" s="201">
        <f t="shared" si="6"/>
        <v>-103.38999999999999</v>
      </c>
      <c r="Q15" s="198">
        <f t="shared" si="7"/>
        <v>10.095652173913056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107.4</v>
      </c>
      <c r="L18" s="201">
        <f t="shared" si="1"/>
        <v>-1.6000000000000085</v>
      </c>
      <c r="M18" s="253">
        <f t="shared" si="2"/>
        <v>0.9851024208566107</v>
      </c>
      <c r="N18" s="197">
        <f>E18-жовтень!E18</f>
        <v>0</v>
      </c>
      <c r="O18" s="200">
        <f>F18-жовтень!F18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83669.12</v>
      </c>
      <c r="G19" s="190">
        <f t="shared" si="0"/>
        <v>-17731.28</v>
      </c>
      <c r="H19" s="197">
        <f t="shared" si="3"/>
        <v>82.51359955187554</v>
      </c>
      <c r="I19" s="198">
        <f t="shared" si="4"/>
        <v>-26230.880000000005</v>
      </c>
      <c r="J19" s="198">
        <f t="shared" si="5"/>
        <v>76.13204731574157</v>
      </c>
      <c r="K19" s="209">
        <v>65538.97</v>
      </c>
      <c r="L19" s="201">
        <f t="shared" si="1"/>
        <v>18130.149999999994</v>
      </c>
      <c r="M19" s="259">
        <f t="shared" si="2"/>
        <v>1.2766315979637763</v>
      </c>
      <c r="N19" s="197">
        <f>E19-жовтень!E19</f>
        <v>10440</v>
      </c>
      <c r="O19" s="200">
        <f>F19-жовтень!F19</f>
        <v>38.69000000000233</v>
      </c>
      <c r="P19" s="201">
        <f t="shared" si="6"/>
        <v>-10401.309999999998</v>
      </c>
      <c r="Q19" s="198">
        <f aca="true" t="shared" si="9" ref="Q19:Q24">O19/N19*100</f>
        <v>0.37059386973182307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v>288035.38</v>
      </c>
      <c r="G20" s="190">
        <f t="shared" si="0"/>
        <v>-12664.599999999977</v>
      </c>
      <c r="H20" s="197">
        <f t="shared" si="3"/>
        <v>95.78829370058489</v>
      </c>
      <c r="I20" s="198">
        <f t="shared" si="4"/>
        <v>-27941.27000000002</v>
      </c>
      <c r="J20" s="198">
        <f t="shared" si="5"/>
        <v>91.15717253157788</v>
      </c>
      <c r="K20" s="198">
        <v>207711.81</v>
      </c>
      <c r="L20" s="201">
        <f t="shared" si="1"/>
        <v>80323.57</v>
      </c>
      <c r="M20" s="254">
        <f t="shared" si="2"/>
        <v>1.3867068030460088</v>
      </c>
      <c r="N20" s="197">
        <f>N21+N30+N31+N32</f>
        <v>25593.920000000013</v>
      </c>
      <c r="O20" s="200">
        <f>F20-жовтень!F20</f>
        <v>5822.630000000005</v>
      </c>
      <c r="P20" s="201">
        <f t="shared" si="6"/>
        <v>-19771.290000000008</v>
      </c>
      <c r="Q20" s="198">
        <f t="shared" si="9"/>
        <v>22.75005157474901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154406.17</v>
      </c>
      <c r="G21" s="190">
        <f t="shared" si="0"/>
        <v>-8557.25</v>
      </c>
      <c r="H21" s="197">
        <f t="shared" si="3"/>
        <v>94.74897495401116</v>
      </c>
      <c r="I21" s="198">
        <f t="shared" si="4"/>
        <v>-20493.47999999998</v>
      </c>
      <c r="J21" s="198">
        <f t="shared" si="5"/>
        <v>88.28272097742907</v>
      </c>
      <c r="K21" s="198">
        <v>109750.31</v>
      </c>
      <c r="L21" s="201">
        <f t="shared" si="1"/>
        <v>44655.860000000015</v>
      </c>
      <c r="M21" s="254">
        <f t="shared" si="2"/>
        <v>1.4068859577708712</v>
      </c>
      <c r="N21" s="197">
        <f>N22+N25+N26</f>
        <v>13520.01000000001</v>
      </c>
      <c r="O21" s="200">
        <f>F21-жовтень!F21</f>
        <v>749.8500000000058</v>
      </c>
      <c r="P21" s="201">
        <f t="shared" si="6"/>
        <v>-12770.160000000003</v>
      </c>
      <c r="Q21" s="198">
        <f t="shared" si="9"/>
        <v>5.546223708414456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20351.38</v>
      </c>
      <c r="G22" s="212">
        <f t="shared" si="0"/>
        <v>2626.9799999999996</v>
      </c>
      <c r="H22" s="214">
        <f t="shared" si="3"/>
        <v>114.82126334318792</v>
      </c>
      <c r="I22" s="215">
        <f t="shared" si="4"/>
        <v>1851.380000000001</v>
      </c>
      <c r="J22" s="215">
        <f t="shared" si="5"/>
        <v>110.00745945945947</v>
      </c>
      <c r="K22" s="216">
        <v>12713.66</v>
      </c>
      <c r="L22" s="206">
        <f t="shared" si="1"/>
        <v>7637.720000000001</v>
      </c>
      <c r="M22" s="262">
        <f t="shared" si="2"/>
        <v>1.6007491155182694</v>
      </c>
      <c r="N22" s="214">
        <f>E22-жовтень!E22</f>
        <v>400</v>
      </c>
      <c r="O22" s="217">
        <f>F22-жовтень!F22</f>
        <v>129.9900000000016</v>
      </c>
      <c r="P22" s="218">
        <f t="shared" si="6"/>
        <v>-270.0099999999984</v>
      </c>
      <c r="Q22" s="215">
        <f t="shared" si="9"/>
        <v>32.4975000000004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797.05</v>
      </c>
      <c r="G23" s="241">
        <f t="shared" si="0"/>
        <v>-627.3500000000001</v>
      </c>
      <c r="H23" s="242">
        <f t="shared" si="3"/>
        <v>55.95689413086211</v>
      </c>
      <c r="I23" s="243">
        <f t="shared" si="4"/>
        <v>-1202.95</v>
      </c>
      <c r="J23" s="243">
        <f t="shared" si="5"/>
        <v>39.8525</v>
      </c>
      <c r="K23" s="243">
        <v>683.67</v>
      </c>
      <c r="L23" s="243">
        <f t="shared" si="1"/>
        <v>113.38</v>
      </c>
      <c r="M23" s="413">
        <f t="shared" si="2"/>
        <v>1.1658402445624352</v>
      </c>
      <c r="N23" s="242">
        <f>E23-жовтень!E23</f>
        <v>200</v>
      </c>
      <c r="O23" s="242">
        <f>F23-жовтень!F23</f>
        <v>1.509999999999991</v>
      </c>
      <c r="P23" s="243">
        <f t="shared" si="6"/>
        <v>-198.49</v>
      </c>
      <c r="Q23" s="243">
        <f t="shared" si="9"/>
        <v>0.7549999999999955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19554.33</v>
      </c>
      <c r="G24" s="241">
        <f t="shared" si="0"/>
        <v>3254.3300000000017</v>
      </c>
      <c r="H24" s="242">
        <f t="shared" si="3"/>
        <v>119.96521472392638</v>
      </c>
      <c r="I24" s="243">
        <f t="shared" si="4"/>
        <v>3054.3300000000017</v>
      </c>
      <c r="J24" s="243">
        <f t="shared" si="5"/>
        <v>118.51109090909091</v>
      </c>
      <c r="K24" s="243">
        <v>12029.99</v>
      </c>
      <c r="L24" s="243">
        <f t="shared" si="1"/>
        <v>7524.340000000002</v>
      </c>
      <c r="M24" s="413">
        <f t="shared" si="2"/>
        <v>1.625465191575388</v>
      </c>
      <c r="N24" s="242">
        <f>E24-жовтень!E24</f>
        <v>200</v>
      </c>
      <c r="O24" s="242">
        <f>F24-жовтень!F24</f>
        <v>128.4800000000032</v>
      </c>
      <c r="P24" s="243">
        <f t="shared" si="6"/>
        <v>-71.5199999999968</v>
      </c>
      <c r="Q24" s="243">
        <f t="shared" si="9"/>
        <v>64.2400000000016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3649.2</v>
      </c>
      <c r="L25" s="215">
        <f t="shared" si="1"/>
        <v>-2838.91</v>
      </c>
      <c r="M25" s="257">
        <f t="shared" si="2"/>
        <v>0.22204592787460264</v>
      </c>
      <c r="N25" s="214">
        <f>E25-жовтень!E25</f>
        <v>0</v>
      </c>
      <c r="O25" s="217">
        <f>F25-жовтень!F25</f>
        <v>0</v>
      </c>
      <c r="P25" s="218">
        <f t="shared" si="6"/>
        <v>0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133244.5</v>
      </c>
      <c r="G26" s="212">
        <f t="shared" si="0"/>
        <v>-11014.48000000001</v>
      </c>
      <c r="H26" s="214">
        <f t="shared" si="3"/>
        <v>92.36478727355481</v>
      </c>
      <c r="I26" s="215">
        <f t="shared" si="4"/>
        <v>-22155.149999999994</v>
      </c>
      <c r="J26" s="215">
        <f t="shared" si="5"/>
        <v>85.7431146080445</v>
      </c>
      <c r="K26" s="216">
        <v>93387.45</v>
      </c>
      <c r="L26" s="216">
        <f t="shared" si="1"/>
        <v>39857.05</v>
      </c>
      <c r="M26" s="256">
        <f t="shared" si="2"/>
        <v>1.4267923580738098</v>
      </c>
      <c r="N26" s="214">
        <f>E26-жовтень!E26</f>
        <v>13120.01000000001</v>
      </c>
      <c r="O26" s="217">
        <f>F26-жовтень!F26</f>
        <v>619.859999999986</v>
      </c>
      <c r="P26" s="218">
        <f t="shared" si="6"/>
        <v>-12500.150000000023</v>
      </c>
      <c r="Q26" s="215">
        <f>O26/N26*100</f>
        <v>4.7245390819060775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42117.23</v>
      </c>
      <c r="G27" s="241">
        <f t="shared" si="0"/>
        <v>-2294.5699999999997</v>
      </c>
      <c r="H27" s="242">
        <f t="shared" si="3"/>
        <v>94.83342264893564</v>
      </c>
      <c r="I27" s="243">
        <f t="shared" si="4"/>
        <v>-5249.769999999997</v>
      </c>
      <c r="J27" s="243">
        <f t="shared" si="5"/>
        <v>88.91681972681404</v>
      </c>
      <c r="K27" s="243">
        <v>25267.13</v>
      </c>
      <c r="L27" s="243">
        <f t="shared" si="1"/>
        <v>16850.100000000002</v>
      </c>
      <c r="M27" s="413">
        <f t="shared" si="2"/>
        <v>1.6668782722849806</v>
      </c>
      <c r="N27" s="242">
        <f>E27-жовтень!E27</f>
        <v>4010</v>
      </c>
      <c r="O27" s="242">
        <f>F27-жовтень!F27</f>
        <v>110.95000000000437</v>
      </c>
      <c r="P27" s="243">
        <f t="shared" si="6"/>
        <v>-3899.0499999999956</v>
      </c>
      <c r="Q27" s="243">
        <f>O27/N27*100</f>
        <v>2.7668329177058446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91127.27</v>
      </c>
      <c r="G28" s="241">
        <f t="shared" si="0"/>
        <v>-8719.899999999994</v>
      </c>
      <c r="H28" s="242">
        <f t="shared" si="3"/>
        <v>91.26675297857717</v>
      </c>
      <c r="I28" s="243">
        <f t="shared" si="4"/>
        <v>-16905.37999999999</v>
      </c>
      <c r="J28" s="243">
        <f t="shared" si="5"/>
        <v>84.351601113182</v>
      </c>
      <c r="K28" s="243">
        <v>68120.32</v>
      </c>
      <c r="L28" s="243">
        <f t="shared" si="1"/>
        <v>23006.949999999997</v>
      </c>
      <c r="M28" s="413">
        <f t="shared" si="2"/>
        <v>1.3377398990492118</v>
      </c>
      <c r="N28" s="242">
        <f>E28-жовтень!E28</f>
        <v>9110</v>
      </c>
      <c r="O28" s="242">
        <f>F28-жовтень!F28</f>
        <v>508.9100000000035</v>
      </c>
      <c r="P28" s="243">
        <f t="shared" si="6"/>
        <v>-8601.089999999997</v>
      </c>
      <c r="Q28" s="243">
        <f>O28/N28*100</f>
        <v>5.586278814489611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96.18</v>
      </c>
      <c r="G30" s="190">
        <f t="shared" si="0"/>
        <v>25.370000000000005</v>
      </c>
      <c r="H30" s="197">
        <f t="shared" si="3"/>
        <v>135.82827284281882</v>
      </c>
      <c r="I30" s="198">
        <f t="shared" si="4"/>
        <v>19.180000000000007</v>
      </c>
      <c r="J30" s="198">
        <f t="shared" si="5"/>
        <v>124.90909090909092</v>
      </c>
      <c r="K30" s="198">
        <v>74.09</v>
      </c>
      <c r="L30" s="198">
        <f t="shared" si="1"/>
        <v>22.090000000000003</v>
      </c>
      <c r="M30" s="255">
        <f>F30/K30</f>
        <v>1.2981508975570253</v>
      </c>
      <c r="N30" s="197">
        <f>E30-жовтень!E30</f>
        <v>8</v>
      </c>
      <c r="O30" s="200">
        <f>F30-жовтень!F30</f>
        <v>0</v>
      </c>
      <c r="P30" s="201">
        <f t="shared" si="6"/>
        <v>-8</v>
      </c>
      <c r="Q30" s="198">
        <f>O30/N30*100</f>
        <v>0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-172.49</v>
      </c>
      <c r="G31" s="190">
        <f t="shared" si="0"/>
        <v>-172.49</v>
      </c>
      <c r="H31" s="197"/>
      <c r="I31" s="198">
        <f t="shared" si="4"/>
        <v>-172.49</v>
      </c>
      <c r="J31" s="198"/>
      <c r="K31" s="198">
        <v>-772.87</v>
      </c>
      <c r="L31" s="198">
        <f t="shared" si="1"/>
        <v>600.38</v>
      </c>
      <c r="M31" s="255">
        <f>F31/K31</f>
        <v>0.2231811300736217</v>
      </c>
      <c r="N31" s="197">
        <f>E31-жовтень!E31</f>
        <v>0</v>
      </c>
      <c r="O31" s="200">
        <f>F31-жовтень!F31</f>
        <v>0.5799999999999841</v>
      </c>
      <c r="P31" s="201">
        <f t="shared" si="6"/>
        <v>0.5799999999999841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133705.39</v>
      </c>
      <c r="G32" s="202">
        <f t="shared" si="0"/>
        <v>-3960.359999999986</v>
      </c>
      <c r="H32" s="204">
        <f t="shared" si="3"/>
        <v>97.12320602619026</v>
      </c>
      <c r="I32" s="205">
        <f t="shared" si="4"/>
        <v>-7294.609999999986</v>
      </c>
      <c r="J32" s="205">
        <f t="shared" si="5"/>
        <v>94.82651773049646</v>
      </c>
      <c r="K32" s="219">
        <v>98660.28</v>
      </c>
      <c r="L32" s="219">
        <f>F32-K32</f>
        <v>35045.110000000015</v>
      </c>
      <c r="M32" s="411">
        <f>F32/K32</f>
        <v>1.3552099183176858</v>
      </c>
      <c r="N32" s="197">
        <f>E32-жовтень!E32</f>
        <v>12065.910000000003</v>
      </c>
      <c r="O32" s="200">
        <f>F32-жовтень!F32</f>
        <v>5072.220000000016</v>
      </c>
      <c r="P32" s="207">
        <f t="shared" si="6"/>
        <v>-6993.689999999988</v>
      </c>
      <c r="Q32" s="205">
        <f>O32/N32*100</f>
        <v>42.03760843566722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32932.51</v>
      </c>
      <c r="G34" s="109">
        <f t="shared" si="0"/>
        <v>-330.4599999999991</v>
      </c>
      <c r="H34" s="111">
        <f t="shared" si="3"/>
        <v>99.00652286912444</v>
      </c>
      <c r="I34" s="110">
        <f t="shared" si="4"/>
        <v>-1284.489999999998</v>
      </c>
      <c r="J34" s="110">
        <f t="shared" si="5"/>
        <v>96.24604728643658</v>
      </c>
      <c r="K34" s="142">
        <v>23706.55</v>
      </c>
      <c r="L34" s="142">
        <f t="shared" si="1"/>
        <v>9225.960000000003</v>
      </c>
      <c r="M34" s="264">
        <f t="shared" si="10"/>
        <v>1.38917345628107</v>
      </c>
      <c r="N34" s="111">
        <f>E34-жовтень!E34</f>
        <v>2600</v>
      </c>
      <c r="O34" s="179">
        <f>F34-жовтень!F34</f>
        <v>1356.4700000000012</v>
      </c>
      <c r="P34" s="112">
        <f t="shared" si="6"/>
        <v>-1243.5299999999988</v>
      </c>
      <c r="Q34" s="110">
        <f>O34/N34*100</f>
        <v>52.17192307692312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100719.57</v>
      </c>
      <c r="G35" s="109">
        <f t="shared" si="0"/>
        <v>-3632.209999999992</v>
      </c>
      <c r="H35" s="111">
        <f t="shared" si="3"/>
        <v>96.51926397422258</v>
      </c>
      <c r="I35" s="110">
        <f t="shared" si="4"/>
        <v>-6012.429999999993</v>
      </c>
      <c r="J35" s="110">
        <f t="shared" si="5"/>
        <v>94.36679721170783</v>
      </c>
      <c r="K35" s="142">
        <v>74922.37</v>
      </c>
      <c r="L35" s="142">
        <f t="shared" si="1"/>
        <v>25797.20000000001</v>
      </c>
      <c r="M35" s="264">
        <f t="shared" si="10"/>
        <v>1.3443190598482138</v>
      </c>
      <c r="N35" s="111">
        <f>E35-жовтень!E35</f>
        <v>9431.699999999997</v>
      </c>
      <c r="O35" s="179">
        <f>F35-жовтень!F35</f>
        <v>3715.75</v>
      </c>
      <c r="P35" s="112">
        <f t="shared" si="6"/>
        <v>-5715.949999999997</v>
      </c>
      <c r="Q35" s="110">
        <f>O35/N35*100</f>
        <v>39.396397256062016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59417.170000000006</v>
      </c>
      <c r="G38" s="191">
        <f>G39+G40+G41+G42+G43+G45+G47+G48+G49+G50+G51+G56+G57+G61</f>
        <v>182.19000000000074</v>
      </c>
      <c r="H38" s="192">
        <f>F38/E38*100</f>
        <v>100.39392383384505</v>
      </c>
      <c r="I38" s="193">
        <f>F38-D38</f>
        <v>-2425.3099999999977</v>
      </c>
      <c r="J38" s="193">
        <f>F38/D38*100</f>
        <v>96.07824589182064</v>
      </c>
      <c r="K38" s="191">
        <v>41741.88</v>
      </c>
      <c r="L38" s="191">
        <f t="shared" si="1"/>
        <v>17675.290000000008</v>
      </c>
      <c r="M38" s="250">
        <f t="shared" si="10"/>
        <v>1.423442595302368</v>
      </c>
      <c r="N38" s="191">
        <f>N39+N40+N41+N42+N43+N45+N47+N48+N49+N50+N51+N56+N57+N61+N44</f>
        <v>3889</v>
      </c>
      <c r="O38" s="191">
        <f>O39+O40+O41+O42+O43+O45+O47+O48+O49+O50+O51+O56+O57+O61+O44</f>
        <v>4399.440000000002</v>
      </c>
      <c r="P38" s="191">
        <f>P39+P40+P41+P42+P43+P45+P47+P48+P49+P50+P51+P56+P57+P61</f>
        <v>493.4400000000023</v>
      </c>
      <c r="Q38" s="191">
        <f>O38/N38*100</f>
        <v>113.12522499357168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549.33</v>
      </c>
      <c r="G39" s="202">
        <f>F39-E39</f>
        <v>151.33000000000004</v>
      </c>
      <c r="H39" s="204">
        <f aca="true" t="shared" si="11" ref="H39:H62">F39/E39*100</f>
        <v>138.02261306532665</v>
      </c>
      <c r="I39" s="205">
        <f>F39-D39</f>
        <v>149.33000000000004</v>
      </c>
      <c r="J39" s="205">
        <f>F39/D39*100</f>
        <v>137.3325</v>
      </c>
      <c r="K39" s="205">
        <v>0.21</v>
      </c>
      <c r="L39" s="205">
        <f t="shared" si="1"/>
        <v>549.12</v>
      </c>
      <c r="M39" s="266">
        <f t="shared" si="10"/>
        <v>2615.857142857143</v>
      </c>
      <c r="N39" s="204">
        <f>E39-жовтень!E39</f>
        <v>12</v>
      </c>
      <c r="O39" s="208">
        <f>F39-жовтень!F39</f>
        <v>64.50000000000006</v>
      </c>
      <c r="P39" s="207">
        <f>O39-N39</f>
        <v>52.50000000000006</v>
      </c>
      <c r="Q39" s="205">
        <f aca="true" t="shared" si="12" ref="Q39:Q62">O39/N39*100</f>
        <v>537.5000000000005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213.09</v>
      </c>
      <c r="G43" s="202">
        <f t="shared" si="13"/>
        <v>103.09</v>
      </c>
      <c r="H43" s="204">
        <f t="shared" si="11"/>
        <v>193.71818181818182</v>
      </c>
      <c r="I43" s="205">
        <f t="shared" si="14"/>
        <v>63.09</v>
      </c>
      <c r="J43" s="205">
        <f t="shared" si="16"/>
        <v>142.06</v>
      </c>
      <c r="K43" s="205">
        <v>267.84</v>
      </c>
      <c r="L43" s="205">
        <f t="shared" si="1"/>
        <v>-54.74999999999997</v>
      </c>
      <c r="M43" s="266">
        <f t="shared" si="17"/>
        <v>0.7955869175627241</v>
      </c>
      <c r="N43" s="204">
        <f>E43-жовтень!E43</f>
        <v>10</v>
      </c>
      <c r="O43" s="208">
        <f>F43-жовтень!F43</f>
        <v>5.409999999999997</v>
      </c>
      <c r="P43" s="207">
        <f t="shared" si="15"/>
        <v>-4.590000000000003</v>
      </c>
      <c r="Q43" s="205">
        <f t="shared" si="12"/>
        <v>54.09999999999997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64.95</v>
      </c>
      <c r="G44" s="202">
        <f t="shared" si="13"/>
        <v>50.95</v>
      </c>
      <c r="H44" s="204"/>
      <c r="I44" s="205">
        <f t="shared" si="14"/>
        <v>50.95</v>
      </c>
      <c r="J44" s="205"/>
      <c r="K44" s="205">
        <v>0</v>
      </c>
      <c r="L44" s="205">
        <f t="shared" si="1"/>
        <v>64.95</v>
      </c>
      <c r="M44" s="266"/>
      <c r="N44" s="204">
        <f>E44-жовтень!E44</f>
        <v>0</v>
      </c>
      <c r="O44" s="208">
        <f>F44-жовтень!F44</f>
        <v>17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555.16</v>
      </c>
      <c r="G45" s="202">
        <f t="shared" si="13"/>
        <v>265.15999999999997</v>
      </c>
      <c r="H45" s="204">
        <f t="shared" si="11"/>
        <v>191.43448275862067</v>
      </c>
      <c r="I45" s="205">
        <f t="shared" si="14"/>
        <v>255.15999999999997</v>
      </c>
      <c r="J45" s="205">
        <f t="shared" si="16"/>
        <v>185.0533333333333</v>
      </c>
      <c r="K45" s="205">
        <v>0</v>
      </c>
      <c r="L45" s="205">
        <f t="shared" si="1"/>
        <v>555.16</v>
      </c>
      <c r="M45" s="266"/>
      <c r="N45" s="204">
        <f>E45-жовтень!E45</f>
        <v>18</v>
      </c>
      <c r="O45" s="208">
        <f>F45-жовтень!F45</f>
        <v>24.139999999999986</v>
      </c>
      <c r="P45" s="207">
        <f t="shared" si="15"/>
        <v>6.139999999999986</v>
      </c>
      <c r="Q45" s="205">
        <f t="shared" si="12"/>
        <v>134.11111111111103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9048.43</v>
      </c>
      <c r="G47" s="202">
        <f t="shared" si="13"/>
        <v>-500.59000000000015</v>
      </c>
      <c r="H47" s="204">
        <f t="shared" si="11"/>
        <v>94.75768194013627</v>
      </c>
      <c r="I47" s="205">
        <f t="shared" si="14"/>
        <v>-851.5699999999997</v>
      </c>
      <c r="J47" s="205">
        <f t="shared" si="16"/>
        <v>91.39828282828283</v>
      </c>
      <c r="K47" s="205">
        <v>8884.54</v>
      </c>
      <c r="L47" s="205">
        <f t="shared" si="1"/>
        <v>163.88999999999942</v>
      </c>
      <c r="M47" s="266">
        <f t="shared" si="17"/>
        <v>1.0184466500235239</v>
      </c>
      <c r="N47" s="204">
        <f>E47-жовтень!E47</f>
        <v>800</v>
      </c>
      <c r="O47" s="208">
        <f>F47-жовтень!F47</f>
        <v>172.1900000000005</v>
      </c>
      <c r="P47" s="207">
        <f t="shared" si="15"/>
        <v>-627.8099999999995</v>
      </c>
      <c r="Q47" s="205">
        <f t="shared" si="12"/>
        <v>21.523750000000064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253.91</v>
      </c>
      <c r="G48" s="202">
        <f t="shared" si="13"/>
        <v>-396.09000000000003</v>
      </c>
      <c r="H48" s="204">
        <f t="shared" si="11"/>
        <v>39.06307692307692</v>
      </c>
      <c r="I48" s="205">
        <f t="shared" si="14"/>
        <v>-396.09000000000003</v>
      </c>
      <c r="J48" s="205">
        <f t="shared" si="16"/>
        <v>39.06307692307692</v>
      </c>
      <c r="K48" s="205">
        <v>0</v>
      </c>
      <c r="L48" s="205">
        <f t="shared" si="1"/>
        <v>253.91</v>
      </c>
      <c r="M48" s="266"/>
      <c r="N48" s="204">
        <f>E48-жовтень!E48</f>
        <v>0</v>
      </c>
      <c r="O48" s="208">
        <f>F48-жовтень!F48</f>
        <v>7.3799999999999955</v>
      </c>
      <c r="P48" s="207">
        <f t="shared" si="15"/>
        <v>7.3799999999999955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16.96</v>
      </c>
      <c r="G49" s="202">
        <f t="shared" si="13"/>
        <v>-23.04</v>
      </c>
      <c r="H49" s="204">
        <f t="shared" si="11"/>
        <v>42.400000000000006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E49-жовтень!E49</f>
        <v>4</v>
      </c>
      <c r="O49" s="208">
        <f>F49-жовтень!F49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5023.94</v>
      </c>
      <c r="G51" s="202">
        <f t="shared" si="13"/>
        <v>-1077.25</v>
      </c>
      <c r="H51" s="204">
        <f t="shared" si="11"/>
        <v>82.34360837803773</v>
      </c>
      <c r="I51" s="205">
        <f t="shared" si="14"/>
        <v>-1976.1000000000004</v>
      </c>
      <c r="J51" s="205">
        <f t="shared" si="16"/>
        <v>71.77016131336393</v>
      </c>
      <c r="K51" s="205">
        <v>6761.32</v>
      </c>
      <c r="L51" s="205">
        <f t="shared" si="1"/>
        <v>-1737.38</v>
      </c>
      <c r="M51" s="266">
        <f t="shared" si="17"/>
        <v>0.7430412996278832</v>
      </c>
      <c r="N51" s="204">
        <f>E51-жовтень!E51</f>
        <v>635</v>
      </c>
      <c r="O51" s="208">
        <f>F51-жовтень!F51</f>
        <v>13.409999999999854</v>
      </c>
      <c r="P51" s="207">
        <f t="shared" si="15"/>
        <v>-621.5900000000001</v>
      </c>
      <c r="Q51" s="205">
        <f t="shared" si="12"/>
        <v>2.111811023622024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713.95</v>
      </c>
      <c r="G52" s="36">
        <f t="shared" si="13"/>
        <v>-160.03999999999996</v>
      </c>
      <c r="H52" s="32">
        <f t="shared" si="11"/>
        <v>81.68857767251342</v>
      </c>
      <c r="I52" s="110">
        <f t="shared" si="14"/>
        <v>-256.04999999999995</v>
      </c>
      <c r="J52" s="110">
        <f t="shared" si="16"/>
        <v>73.60309278350516</v>
      </c>
      <c r="K52" s="110">
        <v>1017.62</v>
      </c>
      <c r="L52" s="110">
        <f>F52-K52</f>
        <v>-303.66999999999996</v>
      </c>
      <c r="M52" s="115">
        <f t="shared" si="17"/>
        <v>0.7015880191033982</v>
      </c>
      <c r="N52" s="111">
        <f>E52-жовтень!E52</f>
        <v>135</v>
      </c>
      <c r="O52" s="179">
        <f>F52-жовтень!F52</f>
        <v>11.650000000000091</v>
      </c>
      <c r="P52" s="112">
        <f t="shared" si="15"/>
        <v>-123.34999999999991</v>
      </c>
      <c r="Q52" s="132">
        <f t="shared" si="12"/>
        <v>8.629629629629697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4309.68</v>
      </c>
      <c r="G55" s="36">
        <f t="shared" si="13"/>
        <v>-912.4899999999998</v>
      </c>
      <c r="H55" s="32">
        <f t="shared" si="11"/>
        <v>82.52661250016756</v>
      </c>
      <c r="I55" s="110">
        <f t="shared" si="14"/>
        <v>-1714.3199999999997</v>
      </c>
      <c r="J55" s="110">
        <f t="shared" si="16"/>
        <v>71.54183266932272</v>
      </c>
      <c r="K55" s="110">
        <v>5698.8</v>
      </c>
      <c r="L55" s="110">
        <f>F55-K55</f>
        <v>-1389.12</v>
      </c>
      <c r="M55" s="115">
        <f t="shared" si="17"/>
        <v>0.7562434196672984</v>
      </c>
      <c r="N55" s="111">
        <f>E55-жовтень!E55</f>
        <v>500</v>
      </c>
      <c r="O55" s="179">
        <f>F55-жовтень!F55</f>
        <v>1.7600000000002183</v>
      </c>
      <c r="P55" s="112">
        <f t="shared" si="15"/>
        <v>-498.2399999999998</v>
      </c>
      <c r="Q55" s="132">
        <f t="shared" si="12"/>
        <v>0.35200000000004367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5684.11</v>
      </c>
      <c r="G57" s="202">
        <f t="shared" si="13"/>
        <v>546.1300000000001</v>
      </c>
      <c r="H57" s="204">
        <f t="shared" si="11"/>
        <v>110.6292745397997</v>
      </c>
      <c r="I57" s="205">
        <f t="shared" si="14"/>
        <v>534.1099999999997</v>
      </c>
      <c r="J57" s="205">
        <f t="shared" si="16"/>
        <v>110.37106796116505</v>
      </c>
      <c r="K57" s="205">
        <v>4367.82</v>
      </c>
      <c r="L57" s="205">
        <f aca="true" t="shared" si="18" ref="L57:L63">F57-K57</f>
        <v>1316.29</v>
      </c>
      <c r="M57" s="266">
        <f t="shared" si="17"/>
        <v>1.3013608619402814</v>
      </c>
      <c r="N57" s="204">
        <f>E57-жовтень!E57</f>
        <v>60</v>
      </c>
      <c r="O57" s="208">
        <f>F57-жовтень!F57</f>
        <v>145.64999999999964</v>
      </c>
      <c r="P57" s="207">
        <f t="shared" si="15"/>
        <v>85.64999999999964</v>
      </c>
      <c r="Q57" s="205">
        <f t="shared" si="12"/>
        <v>242.7499999999994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1169.18</v>
      </c>
      <c r="G59" s="202"/>
      <c r="H59" s="204"/>
      <c r="I59" s="205"/>
      <c r="J59" s="205"/>
      <c r="K59" s="206">
        <v>1141.97</v>
      </c>
      <c r="L59" s="205">
        <f t="shared" si="18"/>
        <v>27.210000000000036</v>
      </c>
      <c r="M59" s="266">
        <f t="shared" si="17"/>
        <v>1.0238272458996296</v>
      </c>
      <c r="N59" s="204"/>
      <c r="O59" s="220">
        <f>F59-жовтень!F59</f>
        <v>32.31000000000017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0.54</v>
      </c>
      <c r="L63" s="205">
        <f t="shared" si="18"/>
        <v>0.48</v>
      </c>
      <c r="M63" s="266">
        <f t="shared" si="17"/>
        <v>1.8888888888888888</v>
      </c>
      <c r="N63" s="204">
        <f>E63-жовтень!E63</f>
        <v>0</v>
      </c>
      <c r="O63" s="208">
        <f>F63-жовтень!F63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873410.66</v>
      </c>
      <c r="G64" s="191">
        <f>F64-E64</f>
        <v>-70219.11999999988</v>
      </c>
      <c r="H64" s="192">
        <f>F64/E64*100</f>
        <v>92.55861551974336</v>
      </c>
      <c r="I64" s="193">
        <f>F64-D64</f>
        <v>-145534.07000000007</v>
      </c>
      <c r="J64" s="193">
        <f>F64/D64*100</f>
        <v>85.71717722118254</v>
      </c>
      <c r="K64" s="193">
        <v>650580.27</v>
      </c>
      <c r="L64" s="193">
        <f>F64-K64</f>
        <v>222830.39</v>
      </c>
      <c r="M64" s="267">
        <f>F64/K64</f>
        <v>1.3425102178398371</v>
      </c>
      <c r="N64" s="191">
        <f>N8+N38+N62+N63</f>
        <v>92637.22000000002</v>
      </c>
      <c r="O64" s="191">
        <f>O8+O38+O62+O63</f>
        <v>20759.63000000002</v>
      </c>
      <c r="P64" s="195">
        <f>O64-N64</f>
        <v>-71877.59</v>
      </c>
      <c r="Q64" s="193">
        <f>O64/N64*100</f>
        <v>22.40959951086617</v>
      </c>
      <c r="R64" s="28">
        <f>O64-34768</f>
        <v>-14008.36999999998</v>
      </c>
      <c r="S64" s="128">
        <f>O64/34768</f>
        <v>0.5970901403589514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2052.22</v>
      </c>
      <c r="G73" s="202">
        <f aca="true" t="shared" si="19" ref="G73:G83">F73-E73</f>
        <v>-2147.78</v>
      </c>
      <c r="H73" s="204"/>
      <c r="I73" s="207">
        <f aca="true" t="shared" si="20" ref="I73:I83">F73-D73</f>
        <v>-13147.78</v>
      </c>
      <c r="J73" s="207">
        <f>F73/D73*100</f>
        <v>13.501447368421053</v>
      </c>
      <c r="K73" s="207">
        <v>619</v>
      </c>
      <c r="L73" s="207">
        <f aca="true" t="shared" si="21" ref="L73:L83">F73-K73</f>
        <v>1433.2199999999998</v>
      </c>
      <c r="M73" s="254">
        <f>F73/K73</f>
        <v>3.315379644588045</v>
      </c>
      <c r="N73" s="204">
        <f>E73-жовтень!E73</f>
        <v>1500</v>
      </c>
      <c r="O73" s="208">
        <f>F73-жовтень!F73</f>
        <v>0.01999999999998181</v>
      </c>
      <c r="P73" s="207">
        <f aca="true" t="shared" si="22" ref="P73:P86">O73-N73</f>
        <v>-1499.98</v>
      </c>
      <c r="Q73" s="207">
        <f>O73/N73*100</f>
        <v>0.0013333333333321207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7241.5</v>
      </c>
      <c r="G74" s="202">
        <f t="shared" si="19"/>
        <v>-3012.8100000000013</v>
      </c>
      <c r="H74" s="204">
        <f>F74/E74*100</f>
        <v>70.61908602334042</v>
      </c>
      <c r="I74" s="207">
        <f t="shared" si="20"/>
        <v>-9917.5</v>
      </c>
      <c r="J74" s="207">
        <f>F74/D74*100</f>
        <v>42.20234279386911</v>
      </c>
      <c r="K74" s="207">
        <v>8212.99</v>
      </c>
      <c r="L74" s="207">
        <f t="shared" si="21"/>
        <v>-971.4899999999998</v>
      </c>
      <c r="M74" s="254">
        <f>F74/K74</f>
        <v>0.8817129936843952</v>
      </c>
      <c r="N74" s="204">
        <f>E74-жовтень!E74</f>
        <v>5101.4000000000015</v>
      </c>
      <c r="O74" s="208">
        <f>F74-жовтень!F74</f>
        <v>0</v>
      </c>
      <c r="P74" s="207">
        <f t="shared" si="22"/>
        <v>-5101.4000000000015</v>
      </c>
      <c r="Q74" s="207">
        <f>O74/N74*100</f>
        <v>0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12246.75</v>
      </c>
      <c r="G75" s="202">
        <f t="shared" si="19"/>
        <v>3745.8999999999996</v>
      </c>
      <c r="H75" s="204">
        <f>F75/E75*100</f>
        <v>144.06500526417946</v>
      </c>
      <c r="I75" s="207">
        <f t="shared" si="20"/>
        <v>-3753.25</v>
      </c>
      <c r="J75" s="207">
        <f>F75/D75*100</f>
        <v>76.5421875</v>
      </c>
      <c r="K75" s="207">
        <v>2292.73</v>
      </c>
      <c r="L75" s="207">
        <f t="shared" si="21"/>
        <v>9954.02</v>
      </c>
      <c r="M75" s="254">
        <f>F75/K75</f>
        <v>5.341557880779682</v>
      </c>
      <c r="N75" s="204">
        <f>E75-жовтень!E75</f>
        <v>5500</v>
      </c>
      <c r="O75" s="208">
        <f>F75-жовтень!F75</f>
        <v>0</v>
      </c>
      <c r="P75" s="207">
        <f t="shared" si="22"/>
        <v>-5500</v>
      </c>
      <c r="Q75" s="207">
        <f>O75/N75*100</f>
        <v>0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21552.47</v>
      </c>
      <c r="G77" s="226">
        <f t="shared" si="19"/>
        <v>-1413.6900000000023</v>
      </c>
      <c r="H77" s="227">
        <f>F77/E77*100</f>
        <v>93.84446507383035</v>
      </c>
      <c r="I77" s="228">
        <f t="shared" si="20"/>
        <v>-26818.53</v>
      </c>
      <c r="J77" s="228">
        <f>F77/D77*100</f>
        <v>44.55659382687974</v>
      </c>
      <c r="K77" s="228">
        <v>11124.73</v>
      </c>
      <c r="L77" s="228">
        <f t="shared" si="21"/>
        <v>10427.740000000002</v>
      </c>
      <c r="M77" s="260">
        <f>F77/K77</f>
        <v>1.9373476929327724</v>
      </c>
      <c r="N77" s="226">
        <f>N73+N74+N75+N76</f>
        <v>12102.400000000001</v>
      </c>
      <c r="O77" s="230">
        <f>O73+O74+O75+O76</f>
        <v>1.0199999999999818</v>
      </c>
      <c r="P77" s="228">
        <f t="shared" si="22"/>
        <v>-12101.380000000001</v>
      </c>
      <c r="Q77" s="228">
        <f>O77/N77*100</f>
        <v>0.008428080380750774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38.94</v>
      </c>
      <c r="G78" s="202">
        <f t="shared" si="19"/>
        <v>38.94</v>
      </c>
      <c r="H78" s="204"/>
      <c r="I78" s="207">
        <f t="shared" si="20"/>
        <v>37.94</v>
      </c>
      <c r="J78" s="207"/>
      <c r="K78" s="207">
        <v>0.35</v>
      </c>
      <c r="L78" s="207">
        <f t="shared" si="21"/>
        <v>38.589999999999996</v>
      </c>
      <c r="M78" s="254">
        <f>F78/K78</f>
        <v>111.25714285714285</v>
      </c>
      <c r="N78" s="204">
        <f>E78-жовтень!E78</f>
        <v>0</v>
      </c>
      <c r="O78" s="208">
        <f>F78-жовтень!F78</f>
        <v>2.989999999999995</v>
      </c>
      <c r="P78" s="207">
        <f t="shared" si="22"/>
        <v>2.989999999999995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6842.13</v>
      </c>
      <c r="G80" s="202">
        <f t="shared" si="19"/>
        <v>-2656.5700000000006</v>
      </c>
      <c r="H80" s="204">
        <f>F80/E80*100</f>
        <v>72.03227810121385</v>
      </c>
      <c r="I80" s="207">
        <f t="shared" si="20"/>
        <v>-2657.87</v>
      </c>
      <c r="J80" s="207">
        <f>F80/D80*100</f>
        <v>72.02242105263159</v>
      </c>
      <c r="K80" s="207">
        <v>0</v>
      </c>
      <c r="L80" s="207">
        <f t="shared" si="21"/>
        <v>6842.13</v>
      </c>
      <c r="M80" s="254"/>
      <c r="N80" s="204">
        <f>E80-жовтень!E80</f>
        <v>1873.4000000000005</v>
      </c>
      <c r="O80" s="208">
        <f>F80-жовтень!F80</f>
        <v>6.0600000000004</v>
      </c>
      <c r="P80" s="207">
        <f>O80-N80</f>
        <v>-1867.3400000000001</v>
      </c>
      <c r="Q80" s="231">
        <f>O80/N80*100</f>
        <v>0.3234760328814134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1.31</v>
      </c>
      <c r="L81" s="207">
        <f t="shared" si="21"/>
        <v>0.030000000000000027</v>
      </c>
      <c r="M81" s="254">
        <f>F81/K81</f>
        <v>1.0229007633587786</v>
      </c>
      <c r="N81" s="204">
        <f>E81-жовтень!E81</f>
        <v>0</v>
      </c>
      <c r="O81" s="208">
        <f>F81-жовтень!F81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6882.41</v>
      </c>
      <c r="G82" s="224">
        <f>G78+G81+G79+G80</f>
        <v>-2616.2900000000004</v>
      </c>
      <c r="H82" s="227">
        <f>F82/E82*100</f>
        <v>72.45633613020729</v>
      </c>
      <c r="I82" s="228">
        <f t="shared" si="20"/>
        <v>-2618.59</v>
      </c>
      <c r="J82" s="228">
        <f>F82/D82*100</f>
        <v>72.43879591621935</v>
      </c>
      <c r="K82" s="228">
        <v>1.66</v>
      </c>
      <c r="L82" s="228">
        <f t="shared" si="21"/>
        <v>6880.75</v>
      </c>
      <c r="M82" s="268">
        <f>F82/K82</f>
        <v>4146.030120481928</v>
      </c>
      <c r="N82" s="226">
        <f>N78+N81+N79+N80</f>
        <v>1873.4000000000005</v>
      </c>
      <c r="O82" s="230">
        <f>O78+O81+O79+O80</f>
        <v>9.050000000000395</v>
      </c>
      <c r="P82" s="226">
        <f>P78+P81+P79+P80</f>
        <v>-1864.3500000000001</v>
      </c>
      <c r="Q82" s="228">
        <f>O82/N82*100</f>
        <v>0.48307889398955867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27.47</v>
      </c>
      <c r="G83" s="202">
        <f t="shared" si="19"/>
        <v>-2.8900000000000006</v>
      </c>
      <c r="H83" s="204">
        <f>F83/E83*100</f>
        <v>90.48089591567853</v>
      </c>
      <c r="I83" s="207">
        <f t="shared" si="20"/>
        <v>-15.530000000000001</v>
      </c>
      <c r="J83" s="207">
        <f>F83/D83*100</f>
        <v>63.883720930232556</v>
      </c>
      <c r="K83" s="207">
        <v>30.61</v>
      </c>
      <c r="L83" s="207">
        <f t="shared" si="21"/>
        <v>-3.1400000000000006</v>
      </c>
      <c r="M83" s="254">
        <f>F83/K83</f>
        <v>0.8974191440705651</v>
      </c>
      <c r="N83" s="204">
        <f>E83-жовтень!E83</f>
        <v>0.5899999999999999</v>
      </c>
      <c r="O83" s="208">
        <f>F83-жовтень!F83</f>
        <v>0</v>
      </c>
      <c r="P83" s="207">
        <f t="shared" si="22"/>
        <v>-0.5899999999999999</v>
      </c>
      <c r="Q83" s="207">
        <f>O83/N83</f>
        <v>0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28452.170000000002</v>
      </c>
      <c r="G85" s="233">
        <f>F85-E85</f>
        <v>-4043.050000000003</v>
      </c>
      <c r="H85" s="234">
        <f>F85/E85*100</f>
        <v>87.55801622515557</v>
      </c>
      <c r="I85" s="235">
        <f>F85-D85</f>
        <v>-29462.829999999998</v>
      </c>
      <c r="J85" s="235">
        <f>F85/D85*100</f>
        <v>49.127462660796</v>
      </c>
      <c r="K85" s="235">
        <v>11101.47</v>
      </c>
      <c r="L85" s="235">
        <f>F85-K85</f>
        <v>17350.700000000004</v>
      </c>
      <c r="M85" s="269">
        <f>F85/K85</f>
        <v>2.5629191449420667</v>
      </c>
      <c r="N85" s="232">
        <f>N71+N83+N77+N82</f>
        <v>13976.390000000003</v>
      </c>
      <c r="O85" s="232">
        <f>O71+O83+O77+O82+O84</f>
        <v>10.070000000000377</v>
      </c>
      <c r="P85" s="235">
        <f t="shared" si="22"/>
        <v>-13966.320000000003</v>
      </c>
      <c r="Q85" s="235">
        <f>O85/N85*100</f>
        <v>0.07205007873993481</v>
      </c>
      <c r="R85" s="28">
        <f>O85-8104.96</f>
        <v>-8094.889999999999</v>
      </c>
      <c r="S85" s="101">
        <f>O85/8104.96</f>
        <v>0.001242449068224936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901862.8300000001</v>
      </c>
      <c r="G86" s="233">
        <f>F86-E86</f>
        <v>-74262.16999999981</v>
      </c>
      <c r="H86" s="234">
        <f>F86/E86*100</f>
        <v>92.39214547317201</v>
      </c>
      <c r="I86" s="235">
        <f>F86-D86</f>
        <v>-174996.8999999999</v>
      </c>
      <c r="J86" s="235">
        <f>F86/D86*100</f>
        <v>83.74933195802578</v>
      </c>
      <c r="K86" s="235">
        <f>K64+K85</f>
        <v>661681.74</v>
      </c>
      <c r="L86" s="235">
        <f>F86-K86</f>
        <v>240181.09000000008</v>
      </c>
      <c r="M86" s="269">
        <f>F86/K86</f>
        <v>1.3629858215522164</v>
      </c>
      <c r="N86" s="233">
        <f>N64+N85</f>
        <v>106613.61000000002</v>
      </c>
      <c r="O86" s="233">
        <f>O64+O85</f>
        <v>20769.70000000002</v>
      </c>
      <c r="P86" s="235">
        <f t="shared" si="22"/>
        <v>-85843.91</v>
      </c>
      <c r="Q86" s="235">
        <f>O86/N86*100</f>
        <v>19.481283862351173</v>
      </c>
      <c r="R86" s="28">
        <f>O86-42872.96</f>
        <v>-22103.25999999998</v>
      </c>
      <c r="S86" s="101">
        <f>O86/42872.96</f>
        <v>0.48444753989461004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17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4228.093529411764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42681</v>
      </c>
      <c r="D90" s="31">
        <v>7111.3</v>
      </c>
      <c r="G90" s="4" t="s">
        <v>59</v>
      </c>
      <c r="O90" s="443"/>
      <c r="P90" s="443"/>
      <c r="T90" s="186">
        <f t="shared" si="23"/>
        <v>7111.3</v>
      </c>
    </row>
    <row r="91" spans="3:16" ht="15">
      <c r="C91" s="87">
        <v>42678</v>
      </c>
      <c r="D91" s="31">
        <v>5108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42677</v>
      </c>
      <c r="D92" s="31">
        <v>2161.9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775.2809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826.03</v>
      </c>
      <c r="G97" s="73">
        <f>G45+G48+G49</f>
        <v>-153.97000000000006</v>
      </c>
      <c r="H97" s="74"/>
      <c r="I97" s="74"/>
      <c r="N97" s="31">
        <f>N45+N48+N49</f>
        <v>22</v>
      </c>
      <c r="O97" s="246">
        <f>O45+O48+O49</f>
        <v>31.519999999999982</v>
      </c>
      <c r="P97" s="31">
        <f>P45+P48+P49</f>
        <v>9.519999999999982</v>
      </c>
    </row>
    <row r="98" spans="4:16" ht="15" hidden="1">
      <c r="D98" s="83"/>
      <c r="I98" s="31"/>
      <c r="O98" s="449"/>
      <c r="P98" s="449"/>
    </row>
    <row r="99" spans="2:17" ht="15" hidden="1">
      <c r="B99" s="4" t="s">
        <v>222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814545.3799999999</v>
      </c>
      <c r="G99" s="31">
        <f>F99-E99</f>
        <v>-70298.54000000004</v>
      </c>
      <c r="H99" s="415">
        <f>F99/E99</f>
        <v>0.9205526100015469</v>
      </c>
      <c r="I99" s="31">
        <f>F99-D99</f>
        <v>-142966.87000000023</v>
      </c>
      <c r="J99" s="415">
        <f>F99/D99</f>
        <v>0.8506892522784955</v>
      </c>
      <c r="N99" s="31">
        <f>N9+N15+N17+N18+N19+N20+N39+N42+N44+N56+N62+N63</f>
        <v>88760.22000000002</v>
      </c>
      <c r="O99" s="414">
        <f>O9+O15+O17+O18+O19+O20+O39+O42+O44+O56+O62+O63</f>
        <v>16441.690000000017</v>
      </c>
      <c r="P99" s="31">
        <f>O99-N99</f>
        <v>-72318.53</v>
      </c>
      <c r="Q99" s="415">
        <f>O99/N99</f>
        <v>0.18523714790251775</v>
      </c>
    </row>
    <row r="100" spans="2:17" ht="15" hidden="1">
      <c r="B100" s="4" t="s">
        <v>223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58865.280000000006</v>
      </c>
      <c r="G100" s="31">
        <f>G40+G41+G43+G45+G47+G48+G49+G50+G51+G57+G61+G44</f>
        <v>79.420000000001</v>
      </c>
      <c r="H100" s="415">
        <f>F100/E100</f>
        <v>1.0013510051566823</v>
      </c>
      <c r="I100" s="31">
        <f>I40+I41+I43+I45+I47+I48+I49+I50+I51+I57+I61+I44</f>
        <v>-2567.2000000000003</v>
      </c>
      <c r="J100" s="415">
        <f>F100/D100</f>
        <v>0.9582110310376531</v>
      </c>
      <c r="K100" s="31">
        <f aca="true" t="shared" si="24" ref="K100:P100">K40+K41+K43+K45+K47+K48+K49+K50+K51+K57+K61+K44</f>
        <v>41736.590000000004</v>
      </c>
      <c r="L100" s="31">
        <f t="shared" si="24"/>
        <v>17128.69</v>
      </c>
      <c r="M100" s="31">
        <f t="shared" si="24"/>
        <v>12.69252565821672</v>
      </c>
      <c r="N100" s="31">
        <f t="shared" si="24"/>
        <v>3877</v>
      </c>
      <c r="O100" s="414">
        <f t="shared" si="24"/>
        <v>4334.940000000002</v>
      </c>
      <c r="P100" s="31">
        <f t="shared" si="24"/>
        <v>440.9400000000023</v>
      </c>
      <c r="Q100" s="415">
        <f>O100/N100</f>
        <v>1.118117100851174</v>
      </c>
    </row>
    <row r="101" spans="2:17" ht="15" hidden="1">
      <c r="B101" s="4" t="s">
        <v>224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873410.6599999999</v>
      </c>
      <c r="G101" s="31">
        <f t="shared" si="25"/>
        <v>-70219.12000000004</v>
      </c>
      <c r="H101" s="415">
        <f>F101/E101</f>
        <v>0.9255861551974335</v>
      </c>
      <c r="I101" s="31">
        <f t="shared" si="25"/>
        <v>-145534.07000000024</v>
      </c>
      <c r="J101" s="415">
        <f>F101/D101</f>
        <v>0.8571717722118253</v>
      </c>
      <c r="K101" s="31">
        <f t="shared" si="25"/>
        <v>41736.590000000004</v>
      </c>
      <c r="L101" s="31">
        <f t="shared" si="25"/>
        <v>17128.69</v>
      </c>
      <c r="M101" s="31">
        <f t="shared" si="25"/>
        <v>12.69252565821672</v>
      </c>
      <c r="N101" s="31">
        <f t="shared" si="25"/>
        <v>92637.22000000002</v>
      </c>
      <c r="O101" s="414">
        <f t="shared" si="25"/>
        <v>20776.63000000002</v>
      </c>
      <c r="P101" s="31">
        <f t="shared" si="25"/>
        <v>-71877.59</v>
      </c>
      <c r="Q101" s="415">
        <f>O101/N101</f>
        <v>0.22427950666049798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1.6007106751203537E-10</v>
      </c>
      <c r="H102" s="415"/>
      <c r="I102" s="31">
        <f t="shared" si="26"/>
        <v>0</v>
      </c>
      <c r="J102" s="415"/>
      <c r="K102" s="31">
        <f t="shared" si="26"/>
        <v>608843.68</v>
      </c>
      <c r="L102" s="31">
        <f t="shared" si="26"/>
        <v>205701.7</v>
      </c>
      <c r="M102" s="31">
        <f t="shared" si="26"/>
        <v>-11.350015440376882</v>
      </c>
      <c r="N102" s="31">
        <f t="shared" si="26"/>
        <v>0</v>
      </c>
      <c r="O102" s="31">
        <f t="shared" si="26"/>
        <v>-17</v>
      </c>
      <c r="P102" s="31">
        <f t="shared" si="26"/>
        <v>0</v>
      </c>
      <c r="Q102" s="31"/>
      <c r="R102" s="31">
        <f t="shared" si="26"/>
        <v>-14008.36999999998</v>
      </c>
      <c r="S102" s="31">
        <f t="shared" si="26"/>
        <v>0.5970901403589514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139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128</v>
      </c>
      <c r="N3" s="429" t="s">
        <v>119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127</v>
      </c>
      <c r="F4" s="457" t="s">
        <v>34</v>
      </c>
      <c r="G4" s="434" t="s">
        <v>116</v>
      </c>
      <c r="H4" s="427" t="s">
        <v>117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140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118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3"/>
      <c r="O84" s="443"/>
    </row>
    <row r="85" spans="3:15" ht="15">
      <c r="C85" s="87">
        <v>42426</v>
      </c>
      <c r="D85" s="31">
        <v>6256.2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42425</v>
      </c>
      <c r="D86" s="31">
        <v>3536.9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505.3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135</v>
      </c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132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129</v>
      </c>
      <c r="F4" s="457" t="s">
        <v>34</v>
      </c>
      <c r="G4" s="434" t="s">
        <v>130</v>
      </c>
      <c r="H4" s="427" t="s">
        <v>131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60" t="s">
        <v>133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134</v>
      </c>
      <c r="L5" s="441"/>
      <c r="M5" s="428"/>
      <c r="N5" s="461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3"/>
      <c r="O84" s="443"/>
    </row>
    <row r="85" spans="3:15" ht="15">
      <c r="C85" s="87">
        <v>42397</v>
      </c>
      <c r="D85" s="31">
        <v>8685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42396</v>
      </c>
      <c r="D86" s="31">
        <v>4820.3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300.92</v>
      </c>
      <c r="E88" s="74"/>
      <c r="F88" s="140"/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136</v>
      </c>
      <c r="C3" s="421" t="s">
        <v>0</v>
      </c>
      <c r="D3" s="422" t="s">
        <v>115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107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104</v>
      </c>
      <c r="F4" s="462" t="s">
        <v>34</v>
      </c>
      <c r="G4" s="434" t="s">
        <v>109</v>
      </c>
      <c r="H4" s="427" t="s">
        <v>110</v>
      </c>
      <c r="I4" s="434" t="s">
        <v>105</v>
      </c>
      <c r="J4" s="427" t="s">
        <v>106</v>
      </c>
      <c r="K4" s="91" t="s">
        <v>65</v>
      </c>
      <c r="L4" s="96" t="s">
        <v>64</v>
      </c>
      <c r="M4" s="427"/>
      <c r="N4" s="460" t="s">
        <v>103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6.5" customHeight="1">
      <c r="A5" s="419"/>
      <c r="B5" s="420"/>
      <c r="C5" s="421"/>
      <c r="D5" s="422"/>
      <c r="E5" s="431"/>
      <c r="F5" s="463"/>
      <c r="G5" s="435"/>
      <c r="H5" s="428"/>
      <c r="I5" s="435"/>
      <c r="J5" s="428"/>
      <c r="K5" s="439" t="s">
        <v>108</v>
      </c>
      <c r="L5" s="441"/>
      <c r="M5" s="428"/>
      <c r="N5" s="461"/>
      <c r="O5" s="435"/>
      <c r="P5" s="438"/>
      <c r="Q5" s="439" t="s">
        <v>126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42"/>
      <c r="H82" s="442"/>
      <c r="I82" s="442"/>
      <c r="J82" s="44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3"/>
      <c r="O83" s="443"/>
    </row>
    <row r="84" spans="3:15" ht="15">
      <c r="C84" s="87">
        <v>42397</v>
      </c>
      <c r="D84" s="31">
        <v>8685</v>
      </c>
      <c r="F84" s="166" t="s">
        <v>59</v>
      </c>
      <c r="G84" s="444"/>
      <c r="H84" s="444"/>
      <c r="I84" s="131"/>
      <c r="J84" s="445"/>
      <c r="K84" s="445"/>
      <c r="L84" s="445"/>
      <c r="M84" s="445"/>
      <c r="N84" s="443"/>
      <c r="O84" s="443"/>
    </row>
    <row r="85" spans="3:15" ht="15.75" customHeight="1">
      <c r="C85" s="87">
        <v>42396</v>
      </c>
      <c r="D85" s="31">
        <v>4820.3</v>
      </c>
      <c r="F85" s="167"/>
      <c r="G85" s="444"/>
      <c r="H85" s="444"/>
      <c r="I85" s="131"/>
      <c r="J85" s="446"/>
      <c r="K85" s="446"/>
      <c r="L85" s="446"/>
      <c r="M85" s="446"/>
      <c r="N85" s="443"/>
      <c r="O85" s="443"/>
    </row>
    <row r="86" spans="3:13" ht="15.75" customHeight="1">
      <c r="C86" s="87"/>
      <c r="F86" s="167"/>
      <c r="G86" s="450"/>
      <c r="H86" s="450"/>
      <c r="I86" s="139"/>
      <c r="J86" s="445"/>
      <c r="K86" s="445"/>
      <c r="L86" s="445"/>
      <c r="M86" s="445"/>
    </row>
    <row r="87" spans="2:13" ht="18.75" customHeight="1">
      <c r="B87" s="451" t="s">
        <v>57</v>
      </c>
      <c r="C87" s="452"/>
      <c r="D87" s="148">
        <v>300.92</v>
      </c>
      <c r="E87" s="74"/>
      <c r="F87" s="168"/>
      <c r="G87" s="444"/>
      <c r="H87" s="444"/>
      <c r="I87" s="141"/>
      <c r="J87" s="445"/>
      <c r="K87" s="445"/>
      <c r="L87" s="445"/>
      <c r="M87" s="445"/>
    </row>
    <row r="88" spans="6:12" ht="9.75" customHeight="1">
      <c r="F88" s="167"/>
      <c r="G88" s="444"/>
      <c r="H88" s="444"/>
      <c r="I88" s="73"/>
      <c r="J88" s="74"/>
      <c r="K88" s="74"/>
      <c r="L88" s="74"/>
    </row>
    <row r="89" spans="2:12" ht="22.5" customHeight="1" hidden="1">
      <c r="B89" s="447" t="s">
        <v>60</v>
      </c>
      <c r="C89" s="448"/>
      <c r="D89" s="86">
        <v>0</v>
      </c>
      <c r="E89" s="56" t="s">
        <v>24</v>
      </c>
      <c r="F89" s="167"/>
      <c r="G89" s="444"/>
      <c r="H89" s="44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4"/>
      <c r="O90" s="444"/>
    </row>
    <row r="91" spans="4:15" ht="15">
      <c r="D91" s="83"/>
      <c r="I91" s="31"/>
      <c r="N91" s="449"/>
      <c r="O91" s="449"/>
    </row>
    <row r="92" spans="14:15" ht="15">
      <c r="N92" s="444"/>
      <c r="O92" s="444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75" sqref="G7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208</v>
      </c>
      <c r="O3" s="429" t="s">
        <v>209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210</v>
      </c>
      <c r="F4" s="432" t="s">
        <v>34</v>
      </c>
      <c r="G4" s="434" t="s">
        <v>211</v>
      </c>
      <c r="H4" s="427" t="s">
        <v>212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215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213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43"/>
      <c r="P90" s="443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42670</v>
      </c>
      <c r="D92" s="31">
        <v>7999.8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12068.543380000001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206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201</v>
      </c>
      <c r="O3" s="429" t="s">
        <v>202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198</v>
      </c>
      <c r="F4" s="432" t="s">
        <v>34</v>
      </c>
      <c r="G4" s="434" t="s">
        <v>199</v>
      </c>
      <c r="H4" s="427" t="s">
        <v>200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207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203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3"/>
      <c r="P90" s="443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42641</v>
      </c>
      <c r="D92" s="31">
        <v>6835.7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10150.57106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196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193</v>
      </c>
      <c r="O3" s="429" t="s">
        <v>194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190</v>
      </c>
      <c r="F4" s="432" t="s">
        <v>34</v>
      </c>
      <c r="G4" s="434" t="s">
        <v>191</v>
      </c>
      <c r="H4" s="427" t="s">
        <v>192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197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195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3"/>
      <c r="P90" s="443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42611</v>
      </c>
      <c r="D92" s="31">
        <v>8603.9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" customHeight="1">
      <c r="B94" s="451" t="s">
        <v>57</v>
      </c>
      <c r="C94" s="452"/>
      <c r="D94" s="148">
        <f>'[1]залишки  (2)'!$G$6/1000</f>
        <v>775.2809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188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183</v>
      </c>
      <c r="O3" s="429" t="s">
        <v>184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179</v>
      </c>
      <c r="F4" s="432" t="s">
        <v>34</v>
      </c>
      <c r="G4" s="434" t="s">
        <v>180</v>
      </c>
      <c r="H4" s="427" t="s">
        <v>181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189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182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3"/>
      <c r="P90" s="443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42578</v>
      </c>
      <c r="D92" s="31">
        <v>8357.1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14372.98265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 hidden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5" t="s">
        <v>177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172</v>
      </c>
      <c r="N3" s="438" t="s">
        <v>173</v>
      </c>
      <c r="O3" s="438"/>
      <c r="P3" s="438"/>
      <c r="Q3" s="438"/>
      <c r="R3" s="438"/>
    </row>
    <row r="4" spans="1:18" ht="22.5" customHeight="1">
      <c r="A4" s="418"/>
      <c r="B4" s="420"/>
      <c r="C4" s="421"/>
      <c r="D4" s="422"/>
      <c r="E4" s="430" t="s">
        <v>170</v>
      </c>
      <c r="F4" s="453" t="s">
        <v>34</v>
      </c>
      <c r="G4" s="434" t="s">
        <v>171</v>
      </c>
      <c r="H4" s="427" t="s">
        <v>175</v>
      </c>
      <c r="I4" s="434" t="s">
        <v>122</v>
      </c>
      <c r="J4" s="427" t="s">
        <v>123</v>
      </c>
      <c r="K4" s="248" t="s">
        <v>65</v>
      </c>
      <c r="L4" s="283" t="s">
        <v>64</v>
      </c>
      <c r="M4" s="427"/>
      <c r="N4" s="436" t="s">
        <v>178</v>
      </c>
      <c r="O4" s="434" t="s">
        <v>50</v>
      </c>
      <c r="P4" s="438" t="s">
        <v>49</v>
      </c>
      <c r="Q4" s="284" t="s">
        <v>65</v>
      </c>
      <c r="R4" s="285" t="s">
        <v>64</v>
      </c>
    </row>
    <row r="5" spans="1:18" ht="67.5" customHeight="1">
      <c r="A5" s="419"/>
      <c r="B5" s="420"/>
      <c r="C5" s="421"/>
      <c r="D5" s="422"/>
      <c r="E5" s="431"/>
      <c r="F5" s="454"/>
      <c r="G5" s="435"/>
      <c r="H5" s="428"/>
      <c r="I5" s="435"/>
      <c r="J5" s="428"/>
      <c r="K5" s="439" t="s">
        <v>174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3"/>
      <c r="O89" s="443"/>
    </row>
    <row r="90" spans="3:15" ht="15">
      <c r="C90" s="87">
        <v>42550</v>
      </c>
      <c r="D90" s="31">
        <v>11029.3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42545</v>
      </c>
      <c r="D91" s="31">
        <v>6499.7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9447.89588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168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162</v>
      </c>
      <c r="N3" s="429" t="s">
        <v>163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158</v>
      </c>
      <c r="F4" s="457" t="s">
        <v>34</v>
      </c>
      <c r="G4" s="434" t="s">
        <v>159</v>
      </c>
      <c r="H4" s="427" t="s">
        <v>160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169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161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3"/>
      <c r="O89" s="443"/>
    </row>
    <row r="90" spans="3:15" ht="15">
      <c r="C90" s="87">
        <v>42520</v>
      </c>
      <c r="D90" s="31">
        <v>8891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42517</v>
      </c>
      <c r="D91" s="31">
        <v>7356.3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2811.04042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156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153</v>
      </c>
      <c r="N3" s="429" t="s">
        <v>154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150</v>
      </c>
      <c r="F4" s="457" t="s">
        <v>34</v>
      </c>
      <c r="G4" s="434" t="s">
        <v>151</v>
      </c>
      <c r="H4" s="427" t="s">
        <v>152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157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155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42"/>
      <c r="H84" s="442"/>
      <c r="I84" s="442"/>
      <c r="J84" s="44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3"/>
      <c r="O85" s="443"/>
    </row>
    <row r="86" spans="3:15" ht="15">
      <c r="C86" s="87">
        <v>42488</v>
      </c>
      <c r="D86" s="31">
        <v>11419.7</v>
      </c>
      <c r="F86" s="124" t="s">
        <v>59</v>
      </c>
      <c r="G86" s="444"/>
      <c r="H86" s="444"/>
      <c r="I86" s="131"/>
      <c r="J86" s="445"/>
      <c r="K86" s="445"/>
      <c r="L86" s="445"/>
      <c r="M86" s="445"/>
      <c r="N86" s="443"/>
      <c r="O86" s="443"/>
    </row>
    <row r="87" spans="3:15" ht="15.75" customHeight="1">
      <c r="C87" s="87">
        <v>42487</v>
      </c>
      <c r="D87" s="31">
        <v>7800.7</v>
      </c>
      <c r="F87" s="73"/>
      <c r="G87" s="444"/>
      <c r="H87" s="444"/>
      <c r="I87" s="131"/>
      <c r="J87" s="446"/>
      <c r="K87" s="446"/>
      <c r="L87" s="446"/>
      <c r="M87" s="446"/>
      <c r="N87" s="443"/>
      <c r="O87" s="443"/>
    </row>
    <row r="88" spans="3:13" ht="15.75" customHeight="1">
      <c r="C88" s="87"/>
      <c r="F88" s="73"/>
      <c r="G88" s="450"/>
      <c r="H88" s="450"/>
      <c r="I88" s="139"/>
      <c r="J88" s="445"/>
      <c r="K88" s="445"/>
      <c r="L88" s="445"/>
      <c r="M88" s="445"/>
    </row>
    <row r="89" spans="2:13" ht="18.75" customHeight="1">
      <c r="B89" s="451" t="s">
        <v>57</v>
      </c>
      <c r="C89" s="452"/>
      <c r="D89" s="148">
        <v>9087.9705</v>
      </c>
      <c r="E89" s="74"/>
      <c r="F89" s="140" t="s">
        <v>137</v>
      </c>
      <c r="G89" s="444"/>
      <c r="H89" s="444"/>
      <c r="I89" s="141"/>
      <c r="J89" s="445"/>
      <c r="K89" s="445"/>
      <c r="L89" s="445"/>
      <c r="M89" s="445"/>
    </row>
    <row r="90" spans="6:12" ht="9.75" customHeight="1">
      <c r="F90" s="73"/>
      <c r="G90" s="444"/>
      <c r="H90" s="444"/>
      <c r="I90" s="73"/>
      <c r="J90" s="74"/>
      <c r="K90" s="74"/>
      <c r="L90" s="74"/>
    </row>
    <row r="91" spans="2:12" ht="22.5" customHeight="1" hidden="1">
      <c r="B91" s="447" t="s">
        <v>60</v>
      </c>
      <c r="C91" s="448"/>
      <c r="D91" s="86">
        <v>0</v>
      </c>
      <c r="E91" s="56" t="s">
        <v>24</v>
      </c>
      <c r="F91" s="73"/>
      <c r="G91" s="444"/>
      <c r="H91" s="44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4"/>
      <c r="O92" s="444"/>
    </row>
    <row r="93" spans="4:15" ht="15">
      <c r="D93" s="83"/>
      <c r="I93" s="31"/>
      <c r="N93" s="449"/>
      <c r="O93" s="449"/>
    </row>
    <row r="94" spans="14:15" ht="15">
      <c r="N94" s="444"/>
      <c r="O94" s="444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148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147</v>
      </c>
      <c r="N3" s="429" t="s">
        <v>143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146</v>
      </c>
      <c r="F4" s="457" t="s">
        <v>34</v>
      </c>
      <c r="G4" s="434" t="s">
        <v>141</v>
      </c>
      <c r="H4" s="427" t="s">
        <v>142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144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3"/>
      <c r="O84" s="443"/>
    </row>
    <row r="85" spans="3:15" ht="15">
      <c r="C85" s="87">
        <v>42459</v>
      </c>
      <c r="D85" s="31">
        <v>7576.3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42458</v>
      </c>
      <c r="D86" s="31">
        <v>9190.1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f>4343.7</f>
        <v>4343.7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2016-11-08T10:20:00Z</cp:lastPrinted>
  <dcterms:created xsi:type="dcterms:W3CDTF">2003-07-28T11:27:56Z</dcterms:created>
  <dcterms:modified xsi:type="dcterms:W3CDTF">2016-11-08T10:30:44Z</dcterms:modified>
  <cp:category/>
  <cp:version/>
  <cp:contentType/>
  <cp:contentStatus/>
</cp:coreProperties>
</file>